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35" windowHeight="4500" activeTab="0"/>
  </bookViews>
  <sheets>
    <sheet name="barème équivalent normal" sheetId="1" r:id="rId1"/>
  </sheets>
  <definedNames>
    <definedName name="barème_Pentabond_garçons">#REF!</definedName>
    <definedName name="note">'barème équivalent normal'!$X$3:$Y$9</definedName>
    <definedName name="solver_adj" localSheetId="0" hidden="1">'barème équivalent normal'!$F$39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'barème équivalent normal'!$R$39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17</definedName>
  </definedNames>
  <calcPr fullCalcOnLoad="1"/>
</workbook>
</file>

<file path=xl/sharedStrings.xml><?xml version="1.0" encoding="utf-8"?>
<sst xmlns="http://schemas.openxmlformats.org/spreadsheetml/2006/main" count="67" uniqueCount="60">
  <si>
    <t>I</t>
  </si>
  <si>
    <t>masse</t>
  </si>
  <si>
    <t>Temps imp</t>
  </si>
  <si>
    <t>Vox</t>
  </si>
  <si>
    <t>V0</t>
  </si>
  <si>
    <t>Taille</t>
  </si>
  <si>
    <t>radians</t>
  </si>
  <si>
    <t>cos 20°</t>
  </si>
  <si>
    <t>NOTE</t>
  </si>
  <si>
    <t>F=ma</t>
  </si>
  <si>
    <t>constantes</t>
  </si>
  <si>
    <t>Alpha 4 premiers sauts</t>
  </si>
  <si>
    <t>hauteur décollage
= Taille/2</t>
  </si>
  <si>
    <t>Pentabond 
reel</t>
  </si>
  <si>
    <t>deplacement du à la taille</t>
  </si>
  <si>
    <t>Pentabond 
corrigé</t>
  </si>
  <si>
    <t>NOTE  SUR 8</t>
  </si>
  <si>
    <t>Voz</t>
  </si>
  <si>
    <t>zo</t>
  </si>
  <si>
    <t>F=m* V0z/temps</t>
  </si>
  <si>
    <t>force (Newton) verticale pour 1 saut à20°</t>
  </si>
  <si>
    <t>5 PORTEES</t>
  </si>
  <si>
    <t>individu 
normal 
180 cm 70 kg</t>
  </si>
  <si>
    <t>NOTE 
PERF MAX</t>
  </si>
  <si>
    <t>Barème 
distance
Max</t>
  </si>
  <si>
    <t>NOTE 
MOY 3 PERFS</t>
  </si>
  <si>
    <t xml:space="preserve">Alpha </t>
  </si>
  <si>
    <t xml:space="preserve">BAREME PREDICTION </t>
  </si>
  <si>
    <t>Différence 
% prédiction</t>
  </si>
  <si>
    <t>PREDICTION
DE LA  MOYENNE
 3 SAUTS</t>
  </si>
  <si>
    <t>Perf 2 (m)</t>
  </si>
  <si>
    <t>Perf 3 (m)</t>
  </si>
  <si>
    <t>Perf 1 (m)</t>
  </si>
  <si>
    <t>hauteur cdg</t>
  </si>
  <si>
    <t xml:space="preserve">Force (Newton) verticale </t>
  </si>
  <si>
    <t>longueur du pas à 20°</t>
  </si>
  <si>
    <t>Portée  1 saut à 20°</t>
  </si>
  <si>
    <t>saut équivalent
impulsion
 POUR N</t>
  </si>
  <si>
    <t>PERF -10 COS(20°)Taille/2</t>
  </si>
  <si>
    <t>COEF
 IMC</t>
  </si>
  <si>
    <t xml:space="preserve"> NOTE FINALE
RELATIVE à IMC</t>
  </si>
  <si>
    <t>PRISE EN COMPTE DE L'IMC pour appliquer la formule sans obliger les plus maigres à atteindre le niveau d'impulsion du N</t>
  </si>
  <si>
    <t>5portées x coef IMC</t>
  </si>
  <si>
    <t>5 portées x coef IMC</t>
  </si>
  <si>
    <t>IMC
"Référent"</t>
  </si>
  <si>
    <t>Portée
 20°</t>
  </si>
  <si>
    <t xml:space="preserve">5 portées </t>
  </si>
  <si>
    <t>DIFF 
% prédiction</t>
  </si>
  <si>
    <t>PERF
élève</t>
  </si>
  <si>
    <t>Les 5 portées du candidat sont multipliées par le coefficient de normalité de l'imc</t>
  </si>
  <si>
    <t>IMC élève</t>
  </si>
  <si>
    <t>Taille élève (m)</t>
  </si>
  <si>
    <t>Poids élève (kg)</t>
  </si>
  <si>
    <t>note prédiction / 4</t>
  </si>
  <si>
    <t>note perf max / 8</t>
  </si>
  <si>
    <t>note moy 3 perf / 8</t>
  </si>
  <si>
    <t>Performance max</t>
  </si>
  <si>
    <r>
      <t xml:space="preserve">La performance ( en valeur de portées du CDG ) est coefficientée selon l'IMC pour la rendre proportionnelle à l'imc du référent ( 1,8 m , 70 kg)
</t>
    </r>
    <r>
      <rPr>
        <b/>
        <sz val="10"/>
        <rFont val="Arial"/>
        <family val="2"/>
      </rPr>
      <t xml:space="preserve">Le barème national 2009 est appliqué au référent </t>
    </r>
    <r>
      <rPr>
        <sz val="10"/>
        <rFont val="Arial"/>
        <family val="2"/>
      </rPr>
      <t xml:space="preserve">
bernard.quesnel@eps-equidurable.fr      2013</t>
    </r>
  </si>
  <si>
    <r>
      <t xml:space="preserve">Pentabond  Equitable garçons
Bac pro EPS
</t>
    </r>
    <r>
      <rPr>
        <b/>
        <i/>
        <sz val="14"/>
        <color indexed="9"/>
        <rFont val="Arial"/>
        <family val="2"/>
      </rPr>
      <t xml:space="preserve">Renseigner les cases blanches </t>
    </r>
  </si>
  <si>
    <t>moyenne
3 meilleures perfs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</si>
</sst>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 Black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color indexed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17"/>
      </left>
      <right>
        <color indexed="63"/>
      </right>
      <top>
        <color indexed="63"/>
      </top>
      <bottom style="medium"/>
    </border>
    <border>
      <left style="double">
        <color indexed="17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double">
        <color indexed="17"/>
      </bottom>
    </border>
    <border>
      <left style="dotted"/>
      <right style="medium"/>
      <top style="medium"/>
      <bottom style="double">
        <color indexed="17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>
        <color indexed="17"/>
      </top>
      <bottom style="medium"/>
    </border>
    <border>
      <left>
        <color indexed="63"/>
      </left>
      <right>
        <color indexed="63"/>
      </right>
      <top style="double">
        <color indexed="17"/>
      </top>
      <bottom style="medium"/>
    </border>
    <border>
      <left>
        <color indexed="63"/>
      </left>
      <right style="medium"/>
      <top style="double">
        <color indexed="17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tted"/>
      <top style="medium"/>
      <bottom style="double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8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25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0" fontId="0" fillId="25" borderId="0" xfId="0" applyFill="1" applyAlignment="1">
      <alignment horizontal="center"/>
    </xf>
    <xf numFmtId="2" fontId="0" fillId="25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15" borderId="0" xfId="0" applyFill="1" applyAlignment="1">
      <alignment horizontal="center"/>
    </xf>
    <xf numFmtId="0" fontId="0" fillId="15" borderId="11" xfId="0" applyFill="1" applyBorder="1" applyAlignment="1">
      <alignment horizontal="center"/>
    </xf>
    <xf numFmtId="1" fontId="6" fillId="24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wrapText="1"/>
    </xf>
    <xf numFmtId="2" fontId="1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10" xfId="0" applyFont="1" applyBorder="1" applyAlignment="1">
      <alignment horizontal="center" textRotation="45"/>
    </xf>
    <xf numFmtId="0" fontId="0" fillId="26" borderId="0" xfId="0" applyFill="1" applyAlignment="1">
      <alignment/>
    </xf>
    <xf numFmtId="0" fontId="9" fillId="26" borderId="0" xfId="0" applyFont="1" applyFill="1" applyAlignment="1">
      <alignment/>
    </xf>
    <xf numFmtId="2" fontId="2" fillId="26" borderId="0" xfId="0" applyNumberFormat="1" applyFont="1" applyFill="1" applyAlignment="1">
      <alignment/>
    </xf>
    <xf numFmtId="2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9" fillId="26" borderId="10" xfId="0" applyFont="1" applyFill="1" applyBorder="1" applyAlignment="1">
      <alignment textRotation="90"/>
    </xf>
    <xf numFmtId="2" fontId="1" fillId="24" borderId="12" xfId="0" applyNumberFormat="1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" fontId="6" fillId="24" borderId="12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1" fillId="8" borderId="13" xfId="0" applyFont="1" applyFill="1" applyBorder="1" applyAlignment="1">
      <alignment horizontal="center" vertical="center" shrinkToFit="1"/>
    </xf>
    <xf numFmtId="2" fontId="0" fillId="0" borderId="14" xfId="0" applyNumberFormat="1" applyFill="1" applyBorder="1" applyAlignment="1" applyProtection="1">
      <alignment horizontal="center" vertical="center" shrinkToFit="1"/>
      <protection locked="0"/>
    </xf>
    <xf numFmtId="0" fontId="1" fillId="8" borderId="15" xfId="0" applyFont="1" applyFill="1" applyBorder="1" applyAlignment="1">
      <alignment horizontal="center" vertical="center" shrinkToFit="1"/>
    </xf>
    <xf numFmtId="0" fontId="1" fillId="26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shrinkToFit="1"/>
    </xf>
    <xf numFmtId="2" fontId="8" fillId="0" borderId="0" xfId="0" applyNumberFormat="1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26" borderId="0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5" borderId="17" xfId="0" applyFill="1" applyBorder="1" applyAlignment="1">
      <alignment horizontal="center" shrinkToFit="1"/>
    </xf>
    <xf numFmtId="0" fontId="0" fillId="5" borderId="18" xfId="0" applyFill="1" applyBorder="1" applyAlignment="1">
      <alignment horizontal="center" shrinkToFit="1"/>
    </xf>
    <xf numFmtId="2" fontId="27" fillId="10" borderId="19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2" fontId="1" fillId="24" borderId="10" xfId="0" applyNumberFormat="1" applyFont="1" applyFill="1" applyBorder="1" applyAlignment="1">
      <alignment horizontal="center" vertical="center" shrinkToFit="1"/>
    </xf>
    <xf numFmtId="2" fontId="0" fillId="0" borderId="0" xfId="0" applyNumberFormat="1" applyAlignment="1">
      <alignment horizontal="center" vertical="center" shrinkToFit="1"/>
    </xf>
    <xf numFmtId="0" fontId="0" fillId="25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2" fontId="6" fillId="27" borderId="0" xfId="0" applyNumberFormat="1" applyFont="1" applyFill="1" applyAlignment="1">
      <alignment horizontal="center" vertical="center" shrinkToFit="1"/>
    </xf>
    <xf numFmtId="2" fontId="0" fillId="25" borderId="0" xfId="0" applyNumberFormat="1" applyFill="1" applyAlignment="1">
      <alignment horizontal="center" shrinkToFit="1"/>
    </xf>
    <xf numFmtId="0" fontId="0" fillId="26" borderId="0" xfId="0" applyFill="1" applyBorder="1" applyAlignment="1">
      <alignment horizontal="center" vertical="center" shrinkToFit="1"/>
    </xf>
    <xf numFmtId="0" fontId="1" fillId="8" borderId="20" xfId="0" applyFont="1" applyFill="1" applyBorder="1" applyAlignment="1">
      <alignment horizontal="center" vertical="center" shrinkToFit="1"/>
    </xf>
    <xf numFmtId="2" fontId="0" fillId="0" borderId="20" xfId="0" applyNumberFormat="1" applyFill="1" applyBorder="1" applyAlignment="1" applyProtection="1">
      <alignment horizontal="center" vertical="center" shrinkToFit="1"/>
      <protection locked="0"/>
    </xf>
    <xf numFmtId="0" fontId="1" fillId="20" borderId="21" xfId="0" applyFont="1" applyFill="1" applyBorder="1" applyAlignment="1">
      <alignment horizontal="center" vertical="center" shrinkToFit="1"/>
    </xf>
    <xf numFmtId="2" fontId="0" fillId="20" borderId="22" xfId="0" applyNumberFormat="1" applyFill="1" applyBorder="1" applyAlignment="1" applyProtection="1">
      <alignment horizontal="center" vertical="center" shrinkToFit="1"/>
      <protection/>
    </xf>
    <xf numFmtId="2" fontId="0" fillId="0" borderId="0" xfId="0" applyNumberFormat="1" applyAlignment="1">
      <alignment horizontal="center" shrinkToFit="1"/>
    </xf>
    <xf numFmtId="2" fontId="0" fillId="25" borderId="0" xfId="0" applyNumberFormat="1" applyFill="1" applyAlignment="1">
      <alignment horizontal="center" vertical="center" shrinkToFit="1"/>
    </xf>
    <xf numFmtId="2" fontId="0" fillId="15" borderId="23" xfId="0" applyNumberFormat="1" applyFill="1" applyBorder="1" applyAlignment="1">
      <alignment horizontal="center" vertical="center" shrinkToFit="1"/>
    </xf>
    <xf numFmtId="0" fontId="0" fillId="26" borderId="0" xfId="0" applyFill="1" applyBorder="1" applyAlignment="1">
      <alignment shrinkToFit="1"/>
    </xf>
    <xf numFmtId="0" fontId="0" fillId="5" borderId="18" xfId="0" applyFill="1" applyBorder="1" applyAlignment="1" quotePrefix="1">
      <alignment horizontal="center" shrinkToFit="1"/>
    </xf>
    <xf numFmtId="2" fontId="26" fillId="27" borderId="24" xfId="0" applyNumberFormat="1" applyFont="1" applyFill="1" applyBorder="1" applyAlignment="1">
      <alignment horizontal="center" vertical="center" shrinkToFit="1"/>
    </xf>
    <xf numFmtId="2" fontId="0" fillId="0" borderId="25" xfId="0" applyNumberFormat="1" applyFill="1" applyBorder="1" applyAlignment="1" applyProtection="1">
      <alignment horizontal="center" vertical="center" shrinkToFit="1"/>
      <protection locked="0"/>
    </xf>
    <xf numFmtId="0" fontId="1" fillId="20" borderId="26" xfId="0" applyFont="1" applyFill="1" applyBorder="1" applyAlignment="1">
      <alignment horizontal="center" vertical="center" shrinkToFit="1"/>
    </xf>
    <xf numFmtId="2" fontId="0" fillId="20" borderId="27" xfId="0" applyNumberFormat="1" applyFill="1" applyBorder="1" applyAlignment="1" applyProtection="1">
      <alignment horizontal="center" vertical="center" shrinkToFit="1"/>
      <protection/>
    </xf>
    <xf numFmtId="2" fontId="0" fillId="10" borderId="28" xfId="0" applyNumberFormat="1" applyFill="1" applyBorder="1" applyAlignment="1">
      <alignment horizontal="center" vertical="center" shrinkToFit="1"/>
    </xf>
    <xf numFmtId="2" fontId="7" fillId="10" borderId="29" xfId="0" applyNumberFormat="1" applyFont="1" applyFill="1" applyBorder="1" applyAlignment="1">
      <alignment horizontal="center" vertical="center" shrinkToFit="1"/>
    </xf>
    <xf numFmtId="2" fontId="0" fillId="0" borderId="0" xfId="0" applyNumberFormat="1" applyAlignment="1">
      <alignment horizontal="left" shrinkToFit="1"/>
    </xf>
    <xf numFmtId="2" fontId="0" fillId="15" borderId="30" xfId="0" applyNumberFormat="1" applyFill="1" applyBorder="1" applyAlignment="1">
      <alignment horizontal="center" vertical="center" shrinkToFit="1"/>
    </xf>
    <xf numFmtId="2" fontId="0" fillId="10" borderId="27" xfId="0" applyNumberFormat="1" applyFill="1" applyBorder="1" applyAlignment="1">
      <alignment horizontal="center" vertical="center" shrinkToFit="1"/>
    </xf>
    <xf numFmtId="2" fontId="7" fillId="10" borderId="3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shrinkToFit="1"/>
    </xf>
    <xf numFmtId="2" fontId="0" fillId="20" borderId="32" xfId="0" applyNumberFormat="1" applyFill="1" applyBorder="1" applyAlignment="1" applyProtection="1">
      <alignment horizontal="center" vertical="center" shrinkToFit="1"/>
      <protection/>
    </xf>
    <xf numFmtId="2" fontId="0" fillId="10" borderId="32" xfId="0" applyNumberFormat="1" applyFill="1" applyBorder="1" applyAlignment="1">
      <alignment horizontal="center" vertical="center" shrinkToFit="1"/>
    </xf>
    <xf numFmtId="2" fontId="7" fillId="10" borderId="33" xfId="0" applyNumberFormat="1" applyFont="1" applyFill="1" applyBorder="1" applyAlignment="1">
      <alignment horizontal="center" vertical="center" shrinkToFit="1"/>
    </xf>
    <xf numFmtId="0" fontId="0" fillId="5" borderId="34" xfId="0" applyFill="1" applyBorder="1" applyAlignment="1">
      <alignment horizontal="center" shrinkToFit="1"/>
    </xf>
    <xf numFmtId="0" fontId="0" fillId="5" borderId="35" xfId="0" applyFill="1" applyBorder="1" applyAlignment="1">
      <alignment horizontal="center" shrinkToFit="1"/>
    </xf>
    <xf numFmtId="2" fontId="1" fillId="10" borderId="36" xfId="0" applyNumberFormat="1" applyFont="1" applyFill="1" applyBorder="1" applyAlignment="1">
      <alignment horizontal="center" vertical="center" wrapText="1" shrinkToFit="1"/>
    </xf>
    <xf numFmtId="0" fontId="1" fillId="20" borderId="21" xfId="0" applyFont="1" applyFill="1" applyBorder="1" applyAlignment="1">
      <alignment horizontal="center" vertical="center" wrapText="1" shrinkToFit="1"/>
    </xf>
    <xf numFmtId="2" fontId="0" fillId="20" borderId="37" xfId="0" applyNumberFormat="1" applyFont="1" applyFill="1" applyBorder="1" applyAlignment="1">
      <alignment horizontal="center" vertical="center" wrapText="1"/>
    </xf>
    <xf numFmtId="2" fontId="0" fillId="20" borderId="38" xfId="0" applyNumberFormat="1" applyFont="1" applyFill="1" applyBorder="1" applyAlignment="1">
      <alignment horizontal="center" vertical="center"/>
    </xf>
    <xf numFmtId="2" fontId="0" fillId="20" borderId="39" xfId="0" applyNumberFormat="1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40" xfId="0" applyFont="1" applyFill="1" applyBorder="1" applyAlignment="1">
      <alignment horizontal="center" vertical="center"/>
    </xf>
    <xf numFmtId="0" fontId="28" fillId="20" borderId="41" xfId="0" applyFont="1" applyFill="1" applyBorder="1" applyAlignment="1">
      <alignment horizontal="center" vertical="center"/>
    </xf>
    <xf numFmtId="0" fontId="28" fillId="20" borderId="42" xfId="0" applyFont="1" applyFill="1" applyBorder="1" applyAlignment="1">
      <alignment horizontal="center" vertical="center"/>
    </xf>
    <xf numFmtId="0" fontId="0" fillId="5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2" fontId="26" fillId="27" borderId="0" xfId="0" applyNumberFormat="1" applyFont="1" applyFill="1" applyBorder="1" applyAlignment="1">
      <alignment horizontal="center" vertical="center" shrinkToFit="1"/>
    </xf>
    <xf numFmtId="0" fontId="30" fillId="8" borderId="25" xfId="0" applyFont="1" applyFill="1" applyBorder="1" applyAlignment="1">
      <alignment horizontal="center" vertical="center" wrapText="1" shrinkToFit="1"/>
    </xf>
    <xf numFmtId="0" fontId="1" fillId="20" borderId="26" xfId="0" applyFont="1" applyFill="1" applyBorder="1" applyAlignment="1">
      <alignment horizontal="center" vertical="center" wrapText="1" shrinkToFit="1"/>
    </xf>
    <xf numFmtId="0" fontId="1" fillId="20" borderId="45" xfId="0" applyFont="1" applyFill="1" applyBorder="1" applyAlignment="1">
      <alignment horizontal="center" vertical="center" wrapText="1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AB247"/>
  <sheetViews>
    <sheetView tabSelected="1" zoomScale="75" zoomScaleNormal="75" zoomScalePageLayoutView="0" workbookViewId="0" topLeftCell="A1">
      <selection activeCell="A10" sqref="A10:D10"/>
    </sheetView>
  </sheetViews>
  <sheetFormatPr defaultColWidth="11.421875" defaultRowHeight="12.75"/>
  <cols>
    <col min="1" max="1" width="26.421875" style="0" customWidth="1"/>
    <col min="2" max="2" width="7.140625" style="0" customWidth="1"/>
    <col min="3" max="3" width="22.7109375" style="0" customWidth="1"/>
    <col min="4" max="4" width="7.28125" style="0" customWidth="1"/>
    <col min="5" max="5" width="6.7109375" style="22" hidden="1" customWidth="1"/>
    <col min="6" max="6" width="6.7109375" style="4" hidden="1" customWidth="1"/>
    <col min="7" max="7" width="6.7109375" style="1" hidden="1" customWidth="1"/>
    <col min="8" max="11" width="6.7109375" style="0" hidden="1" customWidth="1"/>
    <col min="12" max="12" width="8.7109375" style="0" hidden="1" customWidth="1"/>
    <col min="13" max="13" width="6.7109375" style="0" hidden="1" customWidth="1"/>
    <col min="14" max="14" width="13.00390625" style="1" hidden="1" customWidth="1"/>
    <col min="15" max="15" width="10.28125" style="0" hidden="1" customWidth="1"/>
    <col min="16" max="16" width="11.7109375" style="0" hidden="1" customWidth="1"/>
    <col min="17" max="17" width="10.28125" style="0" hidden="1" customWidth="1"/>
    <col min="18" max="18" width="7.00390625" style="0" hidden="1" customWidth="1"/>
    <col min="19" max="19" width="8.00390625" style="0" hidden="1" customWidth="1"/>
    <col min="20" max="20" width="12.00390625" style="0" hidden="1" customWidth="1"/>
    <col min="21" max="21" width="6.57421875" style="0" hidden="1" customWidth="1"/>
    <col min="22" max="22" width="6.7109375" style="0" hidden="1" customWidth="1"/>
    <col min="23" max="23" width="2.7109375" style="0" hidden="1" customWidth="1"/>
    <col min="24" max="25" width="9.57421875" style="0" hidden="1" customWidth="1"/>
    <col min="26" max="26" width="6.7109375" style="0" hidden="1" customWidth="1"/>
    <col min="27" max="33" width="0" style="0" hidden="1" customWidth="1"/>
  </cols>
  <sheetData>
    <row r="1" spans="1:25" ht="62.25" customHeight="1" thickBot="1">
      <c r="A1" s="92" t="s">
        <v>58</v>
      </c>
      <c r="B1" s="93"/>
      <c r="C1" s="94"/>
      <c r="D1" s="95"/>
      <c r="N1"/>
      <c r="X1" s="96" t="s">
        <v>27</v>
      </c>
      <c r="Y1" s="97"/>
    </row>
    <row r="2" spans="1:25" s="50" customFormat="1" ht="33.75" customHeight="1" thickBot="1" thickTop="1">
      <c r="A2" s="39" t="s">
        <v>51</v>
      </c>
      <c r="B2" s="40">
        <v>1.8</v>
      </c>
      <c r="C2" s="41" t="s">
        <v>52</v>
      </c>
      <c r="D2" s="42">
        <v>70</v>
      </c>
      <c r="E2" s="43"/>
      <c r="F2" s="44" t="s">
        <v>4</v>
      </c>
      <c r="G2" s="45" t="s">
        <v>17</v>
      </c>
      <c r="H2" s="45" t="s">
        <v>3</v>
      </c>
      <c r="I2" s="45" t="s">
        <v>26</v>
      </c>
      <c r="J2" s="45" t="s">
        <v>5</v>
      </c>
      <c r="K2" s="45" t="s">
        <v>18</v>
      </c>
      <c r="L2" s="45" t="s">
        <v>1</v>
      </c>
      <c r="M2" s="45" t="s">
        <v>2</v>
      </c>
      <c r="N2" s="46" t="s">
        <v>0</v>
      </c>
      <c r="O2" s="45" t="s">
        <v>45</v>
      </c>
      <c r="P2" s="45" t="s">
        <v>46</v>
      </c>
      <c r="Q2" s="47" t="s">
        <v>14</v>
      </c>
      <c r="R2" s="48" t="s">
        <v>48</v>
      </c>
      <c r="S2" s="47" t="s">
        <v>38</v>
      </c>
      <c r="T2" s="47" t="s">
        <v>15</v>
      </c>
      <c r="U2" s="49"/>
      <c r="X2" s="51" t="s">
        <v>47</v>
      </c>
      <c r="Y2" s="52" t="s">
        <v>8</v>
      </c>
    </row>
    <row r="3" spans="1:25" s="58" customFormat="1" ht="33.75" customHeight="1" thickBot="1">
      <c r="A3" s="39" t="s">
        <v>32</v>
      </c>
      <c r="B3" s="40">
        <v>11</v>
      </c>
      <c r="C3" s="87" t="s">
        <v>40</v>
      </c>
      <c r="D3" s="53">
        <f>D7+D8+D9</f>
        <v>8.8</v>
      </c>
      <c r="E3" s="54"/>
      <c r="F3" s="55">
        <f>SQRT(S4/5*9.81/SIN(2*I3))</f>
        <v>3.28841796774097</v>
      </c>
      <c r="G3" s="56">
        <f>F3*SIN(I3)</f>
        <v>1.1247051846414708</v>
      </c>
      <c r="H3" s="56">
        <f>F3*COS(I3)</f>
        <v>3.090102098345983</v>
      </c>
      <c r="I3" s="56">
        <f>$I$15*PI()/180</f>
        <v>0.3490658503988659</v>
      </c>
      <c r="J3" s="57">
        <f>B2</f>
        <v>1.8</v>
      </c>
      <c r="K3" s="58">
        <f>B2/2</f>
        <v>0.9</v>
      </c>
      <c r="L3" s="57">
        <f>D2</f>
        <v>70</v>
      </c>
      <c r="M3" s="58">
        <v>0.3</v>
      </c>
      <c r="N3" s="55">
        <f>L3*((G3*(SIN(2*I3))/M3)+9.81)</f>
        <v>855.3875300221414</v>
      </c>
      <c r="O3" s="56">
        <f>$F3^2*SIN(2*I3)/9.81</f>
        <v>0.7085532825853649</v>
      </c>
      <c r="P3" s="59">
        <f>5*O3</f>
        <v>3.5427664129268246</v>
      </c>
      <c r="Q3" s="56">
        <f>10*COS(I3)*K3</f>
        <v>8.457233587073176</v>
      </c>
      <c r="R3" s="60">
        <f>P3+Q3</f>
        <v>12</v>
      </c>
      <c r="T3" s="48" t="s">
        <v>37</v>
      </c>
      <c r="U3" s="61"/>
      <c r="X3" s="51">
        <v>0</v>
      </c>
      <c r="Y3" s="52">
        <v>4</v>
      </c>
    </row>
    <row r="4" spans="1:25" s="50" customFormat="1" ht="33.75" customHeight="1" thickBot="1" thickTop="1">
      <c r="A4" s="62" t="s">
        <v>30</v>
      </c>
      <c r="B4" s="63">
        <v>12</v>
      </c>
      <c r="C4" s="64" t="s">
        <v>50</v>
      </c>
      <c r="D4" s="65">
        <f>D2/B2^2</f>
        <v>21.604938271604937</v>
      </c>
      <c r="E4" s="43"/>
      <c r="F4" s="66"/>
      <c r="G4" s="48"/>
      <c r="N4" s="48"/>
      <c r="R4" s="67">
        <f>B7</f>
        <v>12</v>
      </c>
      <c r="S4" s="67">
        <f>B7-((10*COS(I3)*K3))</f>
        <v>3.5427664129268237</v>
      </c>
      <c r="T4" s="68">
        <f>VLOOKUP(N3,$N$19:$U$39,7,1)</f>
        <v>12.05</v>
      </c>
      <c r="U4" s="69"/>
      <c r="X4" s="51">
        <v>0.1</v>
      </c>
      <c r="Y4" s="70">
        <v>4</v>
      </c>
    </row>
    <row r="5" spans="1:25" s="50" customFormat="1" ht="33.75" customHeight="1" thickBot="1">
      <c r="A5" s="62" t="s">
        <v>31</v>
      </c>
      <c r="B5" s="63">
        <v>12</v>
      </c>
      <c r="C5" s="88" t="s">
        <v>39</v>
      </c>
      <c r="D5" s="65">
        <f>D4/21.6</f>
        <v>1.0002286236854137</v>
      </c>
      <c r="E5" s="43"/>
      <c r="F5" s="66"/>
      <c r="G5" s="48"/>
      <c r="N5" s="48"/>
      <c r="P5" s="98" t="s">
        <v>43</v>
      </c>
      <c r="Q5" s="98"/>
      <c r="R5" s="98"/>
      <c r="S5" s="71">
        <f>S4*$D$5</f>
        <v>3.5435763732407066</v>
      </c>
      <c r="U5" s="69"/>
      <c r="X5" s="51">
        <v>0.2</v>
      </c>
      <c r="Y5" s="52">
        <v>3</v>
      </c>
    </row>
    <row r="6" spans="1:25" s="50" customFormat="1" ht="33.75" customHeight="1" thickBot="1">
      <c r="A6" s="99" t="s">
        <v>29</v>
      </c>
      <c r="B6" s="72">
        <v>12</v>
      </c>
      <c r="C6" s="88" t="s">
        <v>44</v>
      </c>
      <c r="D6" s="65">
        <f>70/1.8^2</f>
        <v>21.604938271604937</v>
      </c>
      <c r="E6" s="43"/>
      <c r="F6" s="55">
        <f>SQRT(S7/5*9.81/SIN(2*I6))</f>
        <v>3.1298960602222783</v>
      </c>
      <c r="G6" s="56">
        <f>F6*SIN(I6)</f>
        <v>1.0704874991116695</v>
      </c>
      <c r="H6" s="56">
        <f>F6*COS(I6)</f>
        <v>2.941140231617762</v>
      </c>
      <c r="I6" s="56">
        <f>$I$15*PI()/180</f>
        <v>0.3490658503988659</v>
      </c>
      <c r="J6" s="57">
        <f>B2</f>
        <v>1.8</v>
      </c>
      <c r="K6" s="58">
        <f>J6/2</f>
        <v>0.9</v>
      </c>
      <c r="L6" s="57">
        <f>D2</f>
        <v>70</v>
      </c>
      <c r="M6" s="58">
        <v>0.3</v>
      </c>
      <c r="N6" s="55">
        <f>L6*((G6*(SIN(2*I6))/M6)+9.81)</f>
        <v>847.2557568424394</v>
      </c>
      <c r="O6" s="56">
        <f>$F6^2*SIN(2*I6)/9.81</f>
        <v>0.641886615918698</v>
      </c>
      <c r="P6" s="59">
        <f>5*O6</f>
        <v>3.20943307959349</v>
      </c>
      <c r="Q6" s="56">
        <f>10*COS(I6)*K6</f>
        <v>8.457233587073176</v>
      </c>
      <c r="R6" s="60">
        <f>P6+Q6</f>
        <v>11.666666666666666</v>
      </c>
      <c r="S6" s="58"/>
      <c r="T6" s="48" t="s">
        <v>37</v>
      </c>
      <c r="U6" s="61"/>
      <c r="X6" s="51">
        <v>0.3</v>
      </c>
      <c r="Y6" s="52">
        <v>2</v>
      </c>
    </row>
    <row r="7" spans="1:25" s="50" customFormat="1" ht="33.75" customHeight="1" thickBot="1" thickTop="1">
      <c r="A7" s="73" t="s">
        <v>56</v>
      </c>
      <c r="B7" s="74">
        <f>MAX(B3,B4,B5)</f>
        <v>12</v>
      </c>
      <c r="C7" s="75" t="s">
        <v>54</v>
      </c>
      <c r="D7" s="76">
        <f>VLOOKUP(S5,$P$21:$V$39,6,1)</f>
        <v>3.6</v>
      </c>
      <c r="E7" s="77" t="s">
        <v>41</v>
      </c>
      <c r="F7" s="66"/>
      <c r="G7" s="48"/>
      <c r="N7" s="48"/>
      <c r="R7" s="67">
        <f>B8</f>
        <v>11.666666666666666</v>
      </c>
      <c r="S7" s="67">
        <f>B8-((10*COS(I6)*K6))</f>
        <v>3.20943307959349</v>
      </c>
      <c r="T7" s="78">
        <f>VLOOKUP(N6,$N$19:$U$39,7,1)</f>
        <v>11.56</v>
      </c>
      <c r="X7" s="51">
        <v>0.4</v>
      </c>
      <c r="Y7" s="52">
        <v>1</v>
      </c>
    </row>
    <row r="8" spans="1:25" s="50" customFormat="1" ht="33.75" customHeight="1" thickBot="1">
      <c r="A8" s="100" t="s">
        <v>59</v>
      </c>
      <c r="B8" s="74">
        <f>AVERAGE(B3:B5)</f>
        <v>11.666666666666666</v>
      </c>
      <c r="C8" s="79" t="s">
        <v>55</v>
      </c>
      <c r="D8" s="80">
        <f>VLOOKUP(S8,$P$21:$V$39,6,1)</f>
        <v>3.2</v>
      </c>
      <c r="E8" s="81"/>
      <c r="F8" s="77" t="s">
        <v>49</v>
      </c>
      <c r="G8" s="48"/>
      <c r="N8" s="48"/>
      <c r="P8" s="98" t="s">
        <v>42</v>
      </c>
      <c r="Q8" s="98"/>
      <c r="R8" s="98"/>
      <c r="S8" s="71">
        <f>S7*$D$5</f>
        <v>3.2101668320122347</v>
      </c>
      <c r="X8" s="51">
        <v>0.5</v>
      </c>
      <c r="Y8" s="52">
        <v>0.5</v>
      </c>
    </row>
    <row r="9" spans="1:25" s="50" customFormat="1" ht="33.75" customHeight="1" thickBot="1">
      <c r="A9" s="101" t="s">
        <v>28</v>
      </c>
      <c r="B9" s="82">
        <f>ABS(B8-B6)</f>
        <v>0.3333333333333339</v>
      </c>
      <c r="C9" s="83" t="s">
        <v>53</v>
      </c>
      <c r="D9" s="84">
        <f>VLOOKUP(B9,note,2)</f>
        <v>2</v>
      </c>
      <c r="E9" s="43"/>
      <c r="F9" s="66"/>
      <c r="G9" s="48"/>
      <c r="N9" s="48"/>
      <c r="X9" s="85">
        <v>0.6</v>
      </c>
      <c r="Y9" s="86">
        <v>0</v>
      </c>
    </row>
    <row r="10" spans="1:4" ht="55.5" customHeight="1" thickBot="1" thickTop="1">
      <c r="A10" s="89" t="s">
        <v>57</v>
      </c>
      <c r="B10" s="90"/>
      <c r="C10" s="90"/>
      <c r="D10" s="91"/>
    </row>
    <row r="13" spans="6:14" ht="12.75">
      <c r="F13" s="19"/>
      <c r="I13" s="1" t="s">
        <v>7</v>
      </c>
      <c r="N13" s="14" t="s">
        <v>9</v>
      </c>
    </row>
    <row r="14" spans="7:14" ht="12.75">
      <c r="G14" s="7"/>
      <c r="I14" s="11">
        <f>COS(I39)</f>
        <v>0.9396926207859084</v>
      </c>
      <c r="N14" s="1" t="s">
        <v>19</v>
      </c>
    </row>
    <row r="15" spans="6:22" ht="57.75" customHeight="1">
      <c r="F15" s="20" t="s">
        <v>22</v>
      </c>
      <c r="G15" s="9" t="s">
        <v>10</v>
      </c>
      <c r="I15" s="9">
        <v>20</v>
      </c>
      <c r="J15" s="9">
        <v>1.8</v>
      </c>
      <c r="K15" s="10" t="s">
        <v>12</v>
      </c>
      <c r="L15" s="9">
        <v>70</v>
      </c>
      <c r="N15" s="13" t="s">
        <v>20</v>
      </c>
      <c r="S15" s="8"/>
      <c r="U15" s="18" t="s">
        <v>23</v>
      </c>
      <c r="V15" s="18"/>
    </row>
    <row r="16" spans="4:28" ht="125.25" customHeight="1">
      <c r="D16" s="25"/>
      <c r="E16" s="26"/>
      <c r="F16" s="24" t="s">
        <v>4</v>
      </c>
      <c r="G16" s="24" t="s">
        <v>17</v>
      </c>
      <c r="H16" s="24" t="s">
        <v>3</v>
      </c>
      <c r="I16" s="24" t="s">
        <v>11</v>
      </c>
      <c r="J16" s="24" t="s">
        <v>5</v>
      </c>
      <c r="K16" s="24" t="s">
        <v>33</v>
      </c>
      <c r="L16" s="24" t="s">
        <v>1</v>
      </c>
      <c r="M16" s="24" t="s">
        <v>2</v>
      </c>
      <c r="N16" s="24" t="s">
        <v>34</v>
      </c>
      <c r="O16" s="24" t="s">
        <v>36</v>
      </c>
      <c r="P16" s="24" t="s">
        <v>21</v>
      </c>
      <c r="Q16" s="24" t="s">
        <v>35</v>
      </c>
      <c r="R16" s="24" t="s">
        <v>13</v>
      </c>
      <c r="S16" s="24"/>
      <c r="T16" s="24" t="s">
        <v>24</v>
      </c>
      <c r="U16" s="24" t="s">
        <v>16</v>
      </c>
      <c r="V16" s="24" t="s">
        <v>25</v>
      </c>
      <c r="W16" s="30"/>
      <c r="X16" s="26"/>
      <c r="Y16" s="25"/>
      <c r="Z16" s="25"/>
      <c r="AA16" s="25"/>
      <c r="AB16" s="25"/>
    </row>
    <row r="17" spans="3:28" ht="18" customHeight="1" hidden="1">
      <c r="C17" s="23"/>
      <c r="D17" s="25"/>
      <c r="E17" s="25"/>
      <c r="H17" s="1"/>
      <c r="I17" s="1" t="s">
        <v>6</v>
      </c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W17" s="25"/>
      <c r="X17" s="25"/>
      <c r="Y17" s="25"/>
      <c r="Z17" s="25"/>
      <c r="AA17" s="25"/>
      <c r="AB17" s="25"/>
    </row>
    <row r="18" spans="3:28" ht="27" customHeight="1" hidden="1">
      <c r="C18" s="23"/>
      <c r="D18" s="25"/>
      <c r="E18" s="25"/>
      <c r="F18" s="21">
        <v>0</v>
      </c>
      <c r="G18" s="4">
        <f>F18*SIN(I18)</f>
        <v>0</v>
      </c>
      <c r="H18" s="4">
        <f>F18*COS(I18)</f>
        <v>0</v>
      </c>
      <c r="I18" s="4">
        <f aca="true" t="shared" si="0" ref="I18:I38">$I$15*PI()/180</f>
        <v>0.3490658503988659</v>
      </c>
      <c r="J18" s="5">
        <f aca="true" t="shared" si="1" ref="J18:J38">$J$15</f>
        <v>1.8</v>
      </c>
      <c r="K18" s="1">
        <f aca="true" t="shared" si="2" ref="K18:K39">J18/2</f>
        <v>0.9</v>
      </c>
      <c r="L18" s="5">
        <f aca="true" t="shared" si="3" ref="L18:L38">$L$15</f>
        <v>70</v>
      </c>
      <c r="M18" s="1">
        <v>0.3</v>
      </c>
      <c r="N18" s="17">
        <v>100</v>
      </c>
      <c r="O18" s="4">
        <f>$F18^2*SIN(2*I18)/9.81</f>
        <v>0</v>
      </c>
      <c r="P18" s="4">
        <f>5*O18</f>
        <v>0</v>
      </c>
      <c r="Q18" s="4">
        <f aca="true" t="shared" si="4" ref="Q18:Q39">10*COS(I18)*K18</f>
        <v>8.457233587073176</v>
      </c>
      <c r="R18" s="12">
        <f>P18+Q18</f>
        <v>8.457233587073176</v>
      </c>
      <c r="S18" s="4"/>
      <c r="T18" s="4">
        <v>7.5</v>
      </c>
      <c r="U18" s="16">
        <v>0</v>
      </c>
      <c r="V18" s="15">
        <v>0.39999999999999747</v>
      </c>
      <c r="W18" s="25"/>
      <c r="X18" s="25"/>
      <c r="Y18" s="25"/>
      <c r="Z18" s="25"/>
      <c r="AA18" s="25"/>
      <c r="AB18" s="25"/>
    </row>
    <row r="19" spans="3:28" ht="21" customHeight="1" hidden="1">
      <c r="C19" s="23"/>
      <c r="D19" s="25"/>
      <c r="E19" s="25"/>
      <c r="F19" s="21">
        <v>0</v>
      </c>
      <c r="G19" s="4">
        <f>F19*SIN(I19)</f>
        <v>0</v>
      </c>
      <c r="H19" s="4">
        <f>F19*COS(I19)</f>
        <v>0</v>
      </c>
      <c r="I19" s="4">
        <f t="shared" si="0"/>
        <v>0.3490658503988659</v>
      </c>
      <c r="J19" s="5">
        <f t="shared" si="1"/>
        <v>1.8</v>
      </c>
      <c r="K19" s="1">
        <f t="shared" si="2"/>
        <v>0.9</v>
      </c>
      <c r="L19" s="5">
        <f t="shared" si="3"/>
        <v>70</v>
      </c>
      <c r="M19" s="1">
        <v>0.3</v>
      </c>
      <c r="N19" s="17">
        <v>500</v>
      </c>
      <c r="O19" s="4">
        <f>$F19^2*SIN(2*I19)/9.81</f>
        <v>0</v>
      </c>
      <c r="P19" s="4">
        <f>5*O19</f>
        <v>0</v>
      </c>
      <c r="Q19" s="4">
        <f t="shared" si="4"/>
        <v>8.457233587073176</v>
      </c>
      <c r="R19" s="12">
        <f>P19+Q19</f>
        <v>8.457233587073176</v>
      </c>
      <c r="S19" s="4"/>
      <c r="T19" s="4">
        <v>7.75</v>
      </c>
      <c r="U19" s="16">
        <v>0</v>
      </c>
      <c r="V19" s="15">
        <v>0.7999999999999975</v>
      </c>
      <c r="W19" s="25"/>
      <c r="X19" s="25"/>
      <c r="Y19" s="25"/>
      <c r="Z19" s="25"/>
      <c r="AA19" s="25"/>
      <c r="AB19" s="25"/>
    </row>
    <row r="20" spans="3:28" ht="18" hidden="1">
      <c r="C20" s="23"/>
      <c r="D20" s="25"/>
      <c r="E20" s="25"/>
      <c r="F20" s="31">
        <v>-3.906250327515792E-08</v>
      </c>
      <c r="G20" s="4">
        <f aca="true" t="shared" si="5" ref="G20:G39">F20*SIN(I20)</f>
        <v>-1.3360162968828915E-08</v>
      </c>
      <c r="H20" s="4">
        <f aca="true" t="shared" si="6" ref="H20:H39">F20*COS(I20)</f>
        <v>-3.670674607709128E-08</v>
      </c>
      <c r="I20" s="4">
        <f t="shared" si="0"/>
        <v>0.3490658503988659</v>
      </c>
      <c r="J20" s="32">
        <f t="shared" si="1"/>
        <v>1.8</v>
      </c>
      <c r="K20" s="1">
        <f t="shared" si="2"/>
        <v>0.9</v>
      </c>
      <c r="L20" s="32">
        <f t="shared" si="3"/>
        <v>70</v>
      </c>
      <c r="M20" s="1">
        <v>0.3</v>
      </c>
      <c r="N20" s="33">
        <f aca="true" t="shared" si="7" ref="N20:N39">L20*((G20*(SIN(2*I20))/M20)+9.81)</f>
        <v>686.6999979961923</v>
      </c>
      <c r="O20" s="4">
        <f aca="true" t="shared" si="8" ref="O20:O39">$F20^2*SIN(2*I20)/9.81</f>
        <v>9.998126598274432E-17</v>
      </c>
      <c r="P20" s="4">
        <f aca="true" t="shared" si="9" ref="P20:P39">5*O20</f>
        <v>4.999063299137216E-16</v>
      </c>
      <c r="Q20" s="4">
        <f t="shared" si="4"/>
        <v>8.457233587073176</v>
      </c>
      <c r="R20" s="12">
        <f aca="true" t="shared" si="10" ref="R20:R39">P20+Q20</f>
        <v>8.457233587073176</v>
      </c>
      <c r="S20" s="4"/>
      <c r="T20" s="4">
        <v>8</v>
      </c>
      <c r="U20" s="15">
        <v>0.39999999999999747</v>
      </c>
      <c r="V20" s="15">
        <v>1.2</v>
      </c>
      <c r="W20" s="25"/>
      <c r="X20" s="25"/>
      <c r="Y20" s="25"/>
      <c r="Z20" s="25"/>
      <c r="AA20" s="25"/>
      <c r="AB20" s="25"/>
    </row>
    <row r="21" spans="3:28" ht="18">
      <c r="C21" s="23"/>
      <c r="D21" s="25"/>
      <c r="E21" s="25"/>
      <c r="F21" s="21">
        <v>0.3612972598664199</v>
      </c>
      <c r="G21" s="34">
        <f t="shared" si="5"/>
        <v>0.12357094060268431</v>
      </c>
      <c r="H21" s="34">
        <f t="shared" si="6"/>
        <v>0.33950836900664355</v>
      </c>
      <c r="I21" s="34">
        <f t="shared" si="0"/>
        <v>0.3490658503988659</v>
      </c>
      <c r="J21" s="5">
        <f t="shared" si="1"/>
        <v>1.8</v>
      </c>
      <c r="K21" s="35">
        <f t="shared" si="2"/>
        <v>0.9</v>
      </c>
      <c r="L21" s="5">
        <f t="shared" si="3"/>
        <v>70</v>
      </c>
      <c r="M21" s="35">
        <v>0.3</v>
      </c>
      <c r="N21" s="17">
        <f t="shared" si="7"/>
        <v>705.2336362252339</v>
      </c>
      <c r="O21" s="34">
        <f t="shared" si="8"/>
        <v>0.008553184199925417</v>
      </c>
      <c r="P21" s="34">
        <f t="shared" si="9"/>
        <v>0.04276592099962708</v>
      </c>
      <c r="Q21" s="34">
        <f t="shared" si="4"/>
        <v>8.457233587073176</v>
      </c>
      <c r="R21" s="36">
        <f t="shared" si="10"/>
        <v>8.499999508072804</v>
      </c>
      <c r="S21" s="34"/>
      <c r="T21" s="34">
        <v>8.5</v>
      </c>
      <c r="U21" s="37">
        <v>0.7999999999999975</v>
      </c>
      <c r="V21" s="37">
        <v>1.6</v>
      </c>
      <c r="W21" s="25"/>
      <c r="X21" s="25"/>
      <c r="Y21" s="25"/>
      <c r="Z21" s="25"/>
      <c r="AA21" s="25"/>
      <c r="AB21" s="25"/>
    </row>
    <row r="22" spans="3:28" ht="18">
      <c r="C22" s="23"/>
      <c r="D22" s="25"/>
      <c r="E22" s="25"/>
      <c r="F22" s="21">
        <v>1.1625269315543316</v>
      </c>
      <c r="G22" s="34">
        <f t="shared" si="5"/>
        <v>0.39760762775016234</v>
      </c>
      <c r="H22" s="34">
        <f t="shared" si="6"/>
        <v>1.0924179790464903</v>
      </c>
      <c r="I22" s="34">
        <f t="shared" si="0"/>
        <v>0.3490658503988659</v>
      </c>
      <c r="J22" s="5">
        <f t="shared" si="1"/>
        <v>1.8</v>
      </c>
      <c r="K22" s="35">
        <f t="shared" si="2"/>
        <v>0.9</v>
      </c>
      <c r="L22" s="5">
        <f t="shared" si="3"/>
        <v>70</v>
      </c>
      <c r="M22" s="35">
        <v>0.3</v>
      </c>
      <c r="N22" s="17">
        <f t="shared" si="7"/>
        <v>746.3346932147546</v>
      </c>
      <c r="O22" s="34">
        <f t="shared" si="8"/>
        <v>0.0885532560979208</v>
      </c>
      <c r="P22" s="34">
        <f t="shared" si="9"/>
        <v>0.442766280489604</v>
      </c>
      <c r="Q22" s="34">
        <f t="shared" si="4"/>
        <v>8.457233587073176</v>
      </c>
      <c r="R22" s="36">
        <f t="shared" si="10"/>
        <v>8.89999986756278</v>
      </c>
      <c r="S22" s="34"/>
      <c r="T22" s="34">
        <v>9.05</v>
      </c>
      <c r="U22" s="37">
        <v>1.2</v>
      </c>
      <c r="V22" s="37">
        <v>2</v>
      </c>
      <c r="W22" s="25"/>
      <c r="X22" s="25"/>
      <c r="Y22" s="25"/>
      <c r="Z22" s="25"/>
      <c r="AA22" s="25"/>
      <c r="AB22" s="25"/>
    </row>
    <row r="23" spans="3:28" ht="18">
      <c r="C23" s="23"/>
      <c r="D23" s="25"/>
      <c r="E23" s="25"/>
      <c r="F23" s="21">
        <v>1.696358848579345</v>
      </c>
      <c r="G23" s="34">
        <f t="shared" si="5"/>
        <v>0.580188896522874</v>
      </c>
      <c r="H23" s="34">
        <f t="shared" si="6"/>
        <v>1.5940558922148906</v>
      </c>
      <c r="I23" s="34">
        <f t="shared" si="0"/>
        <v>0.3490658503988659</v>
      </c>
      <c r="J23" s="5">
        <f t="shared" si="1"/>
        <v>1.8</v>
      </c>
      <c r="K23" s="35">
        <f t="shared" si="2"/>
        <v>0.9</v>
      </c>
      <c r="L23" s="5">
        <f t="shared" si="3"/>
        <v>70</v>
      </c>
      <c r="M23" s="35">
        <v>0.3</v>
      </c>
      <c r="N23" s="17">
        <f t="shared" si="7"/>
        <v>773.718921257942</v>
      </c>
      <c r="O23" s="34">
        <f t="shared" si="8"/>
        <v>0.18855321694188432</v>
      </c>
      <c r="P23" s="34">
        <f t="shared" si="9"/>
        <v>0.9427660847094216</v>
      </c>
      <c r="Q23" s="34">
        <f t="shared" si="4"/>
        <v>8.457233587073176</v>
      </c>
      <c r="R23" s="36">
        <f t="shared" si="10"/>
        <v>9.399999671782599</v>
      </c>
      <c r="S23" s="34"/>
      <c r="T23" s="34">
        <v>9.55</v>
      </c>
      <c r="U23" s="37">
        <v>1.6</v>
      </c>
      <c r="V23" s="37">
        <v>2.4</v>
      </c>
      <c r="W23" s="25"/>
      <c r="X23" s="25"/>
      <c r="Y23" s="25"/>
      <c r="Z23" s="25"/>
      <c r="AA23" s="25"/>
      <c r="AB23" s="25"/>
    </row>
    <row r="24" spans="3:28" ht="18">
      <c r="C24" s="23"/>
      <c r="D24" s="25"/>
      <c r="E24" s="25"/>
      <c r="F24" s="21">
        <v>2.0985233851140146</v>
      </c>
      <c r="G24" s="34">
        <f t="shared" si="5"/>
        <v>0.7177372689489627</v>
      </c>
      <c r="H24" s="34">
        <f t="shared" si="6"/>
        <v>1.9719669395383046</v>
      </c>
      <c r="I24" s="34">
        <f t="shared" si="0"/>
        <v>0.3490658503988659</v>
      </c>
      <c r="J24" s="5">
        <f t="shared" si="1"/>
        <v>1.8</v>
      </c>
      <c r="K24" s="35">
        <f t="shared" si="2"/>
        <v>0.9</v>
      </c>
      <c r="L24" s="5">
        <f t="shared" si="3"/>
        <v>70</v>
      </c>
      <c r="M24" s="35">
        <v>0.3</v>
      </c>
      <c r="N24" s="17">
        <f t="shared" si="7"/>
        <v>794.3489454811513</v>
      </c>
      <c r="O24" s="34">
        <f t="shared" si="8"/>
        <v>0.288553346715977</v>
      </c>
      <c r="P24" s="34">
        <f t="shared" si="9"/>
        <v>1.442766733579885</v>
      </c>
      <c r="Q24" s="34">
        <f t="shared" si="4"/>
        <v>8.457233587073176</v>
      </c>
      <c r="R24" s="36">
        <f t="shared" si="10"/>
        <v>9.900000320653062</v>
      </c>
      <c r="S24" s="34"/>
      <c r="T24" s="34">
        <v>10.07</v>
      </c>
      <c r="U24" s="37">
        <v>2</v>
      </c>
      <c r="V24" s="37">
        <v>2.8</v>
      </c>
      <c r="W24" s="25"/>
      <c r="X24" s="25"/>
      <c r="Y24" s="25"/>
      <c r="Z24" s="25"/>
      <c r="AA24" s="25"/>
      <c r="AB24" s="25"/>
    </row>
    <row r="25" spans="4:28" ht="18">
      <c r="D25" s="25"/>
      <c r="E25" s="25"/>
      <c r="F25" s="21">
        <v>2.435151914018193</v>
      </c>
      <c r="G25" s="34">
        <f t="shared" si="5"/>
        <v>0.8328710066522789</v>
      </c>
      <c r="H25" s="34">
        <f t="shared" si="6"/>
        <v>2.288294284095577</v>
      </c>
      <c r="I25" s="34">
        <f t="shared" si="0"/>
        <v>0.3490658503988659</v>
      </c>
      <c r="J25" s="5">
        <f t="shared" si="1"/>
        <v>1.8</v>
      </c>
      <c r="K25" s="35">
        <f t="shared" si="2"/>
        <v>0.9</v>
      </c>
      <c r="L25" s="5">
        <f t="shared" si="3"/>
        <v>70</v>
      </c>
      <c r="M25" s="35">
        <v>0.3</v>
      </c>
      <c r="N25" s="17">
        <f t="shared" si="7"/>
        <v>811.6171381600894</v>
      </c>
      <c r="O25" s="34">
        <f t="shared" si="8"/>
        <v>0.3885533055884482</v>
      </c>
      <c r="P25" s="34">
        <f t="shared" si="9"/>
        <v>1.942766527942241</v>
      </c>
      <c r="Q25" s="34">
        <f t="shared" si="4"/>
        <v>8.457233587073176</v>
      </c>
      <c r="R25" s="36">
        <f t="shared" si="10"/>
        <v>10.400000115015418</v>
      </c>
      <c r="S25" s="34"/>
      <c r="T25" s="34">
        <v>10.57</v>
      </c>
      <c r="U25" s="37">
        <v>2.4</v>
      </c>
      <c r="V25" s="37">
        <v>3.2</v>
      </c>
      <c r="W25" s="25"/>
      <c r="X25" s="25"/>
      <c r="Y25" s="25"/>
      <c r="Z25" s="25"/>
      <c r="AA25" s="25"/>
      <c r="AB25" s="25"/>
    </row>
    <row r="26" spans="4:28" ht="18">
      <c r="D26" s="25"/>
      <c r="E26" s="25"/>
      <c r="F26" s="21">
        <v>2.674116399836217</v>
      </c>
      <c r="G26" s="34">
        <f t="shared" si="5"/>
        <v>0.9146016743415042</v>
      </c>
      <c r="H26" s="34">
        <f t="shared" si="6"/>
        <v>2.512847448048673</v>
      </c>
      <c r="I26" s="34">
        <f t="shared" si="0"/>
        <v>0.3490658503988659</v>
      </c>
      <c r="J26" s="5">
        <f t="shared" si="1"/>
        <v>1.8</v>
      </c>
      <c r="K26" s="35">
        <f t="shared" si="2"/>
        <v>0.9</v>
      </c>
      <c r="L26" s="5">
        <f t="shared" si="3"/>
        <v>70</v>
      </c>
      <c r="M26" s="35">
        <v>0.3</v>
      </c>
      <c r="N26" s="17">
        <f t="shared" si="7"/>
        <v>823.8754122818991</v>
      </c>
      <c r="O26" s="34">
        <f t="shared" si="8"/>
        <v>0.468553411488296</v>
      </c>
      <c r="P26" s="34">
        <f t="shared" si="9"/>
        <v>2.34276705744148</v>
      </c>
      <c r="Q26" s="34">
        <f t="shared" si="4"/>
        <v>8.457233587073176</v>
      </c>
      <c r="R26" s="36">
        <f t="shared" si="10"/>
        <v>10.800000644514656</v>
      </c>
      <c r="S26" s="34"/>
      <c r="T26" s="34">
        <v>11.06</v>
      </c>
      <c r="U26" s="37">
        <v>2.8</v>
      </c>
      <c r="V26" s="37">
        <v>3.6</v>
      </c>
      <c r="W26" s="25"/>
      <c r="X26" s="25"/>
      <c r="Y26" s="25"/>
      <c r="Z26" s="25"/>
      <c r="AA26" s="25"/>
      <c r="AB26" s="25"/>
    </row>
    <row r="27" spans="4:28" ht="18">
      <c r="D27" s="25"/>
      <c r="E27" s="25"/>
      <c r="F27" s="21">
        <v>2.9456855321092528</v>
      </c>
      <c r="G27" s="34">
        <f t="shared" si="5"/>
        <v>1.0074837878843554</v>
      </c>
      <c r="H27" s="34">
        <f t="shared" si="6"/>
        <v>2.768038957678877</v>
      </c>
      <c r="I27" s="34">
        <f t="shared" si="0"/>
        <v>0.3490658503988659</v>
      </c>
      <c r="J27" s="5">
        <f t="shared" si="1"/>
        <v>1.8</v>
      </c>
      <c r="K27" s="35">
        <f t="shared" si="2"/>
        <v>0.9</v>
      </c>
      <c r="L27" s="5">
        <f t="shared" si="3"/>
        <v>70</v>
      </c>
      <c r="M27" s="35">
        <v>0.3</v>
      </c>
      <c r="N27" s="17">
        <f t="shared" si="7"/>
        <v>837.8062223561625</v>
      </c>
      <c r="O27" s="34">
        <f t="shared" si="8"/>
        <v>0.5685533892138179</v>
      </c>
      <c r="P27" s="34">
        <f t="shared" si="9"/>
        <v>2.84276694606909</v>
      </c>
      <c r="Q27" s="34">
        <f t="shared" si="4"/>
        <v>8.457233587073176</v>
      </c>
      <c r="R27" s="36">
        <f t="shared" si="10"/>
        <v>11.300000533142267</v>
      </c>
      <c r="S27" s="34"/>
      <c r="T27" s="34">
        <v>11.56</v>
      </c>
      <c r="U27" s="37">
        <v>3.2</v>
      </c>
      <c r="V27" s="37">
        <v>4</v>
      </c>
      <c r="W27" s="25"/>
      <c r="X27" s="25"/>
      <c r="Y27" s="25"/>
      <c r="Z27" s="25"/>
      <c r="AA27" s="25"/>
      <c r="AB27" s="25"/>
    </row>
    <row r="28" spans="4:28" ht="18">
      <c r="D28" s="25"/>
      <c r="E28" s="25"/>
      <c r="F28" s="21">
        <v>3.1942491162628914</v>
      </c>
      <c r="G28" s="34">
        <f t="shared" si="5"/>
        <v>1.0924975405621247</v>
      </c>
      <c r="H28" s="34">
        <f t="shared" si="6"/>
        <v>3.0016123235041485</v>
      </c>
      <c r="I28" s="34">
        <f t="shared" si="0"/>
        <v>0.3490658503988659</v>
      </c>
      <c r="J28" s="5">
        <f t="shared" si="1"/>
        <v>1.8</v>
      </c>
      <c r="K28" s="35">
        <f t="shared" si="2"/>
        <v>0.9</v>
      </c>
      <c r="L28" s="5">
        <f t="shared" si="3"/>
        <v>70</v>
      </c>
      <c r="M28" s="35">
        <v>0.3</v>
      </c>
      <c r="N28" s="17">
        <f t="shared" si="7"/>
        <v>850.5569059601486</v>
      </c>
      <c r="O28" s="34">
        <f t="shared" si="8"/>
        <v>0.6685533294901623</v>
      </c>
      <c r="P28" s="34">
        <f t="shared" si="9"/>
        <v>3.3427666474508118</v>
      </c>
      <c r="Q28" s="34">
        <f t="shared" si="4"/>
        <v>8.457233587073176</v>
      </c>
      <c r="R28" s="36">
        <f t="shared" si="10"/>
        <v>11.800000234523988</v>
      </c>
      <c r="S28" s="34"/>
      <c r="T28" s="34">
        <v>12.05</v>
      </c>
      <c r="U28" s="37">
        <v>3.6</v>
      </c>
      <c r="V28" s="37">
        <v>4.4</v>
      </c>
      <c r="W28" s="25"/>
      <c r="X28" s="25"/>
      <c r="Y28" s="25"/>
      <c r="Z28" s="25"/>
      <c r="AA28" s="25"/>
      <c r="AB28" s="25"/>
    </row>
    <row r="29" spans="4:28" ht="18">
      <c r="D29" s="25"/>
      <c r="E29" s="25"/>
      <c r="F29" s="21">
        <v>3.424820079229988</v>
      </c>
      <c r="G29" s="34">
        <f t="shared" si="5"/>
        <v>1.1713574543628684</v>
      </c>
      <c r="H29" s="34">
        <f t="shared" si="6"/>
        <v>3.21827815597183</v>
      </c>
      <c r="I29" s="34">
        <f t="shared" si="0"/>
        <v>0.3490658503988659</v>
      </c>
      <c r="J29" s="5">
        <f t="shared" si="1"/>
        <v>1.8</v>
      </c>
      <c r="K29" s="35">
        <f t="shared" si="2"/>
        <v>0.9</v>
      </c>
      <c r="L29" s="5">
        <f t="shared" si="3"/>
        <v>70</v>
      </c>
      <c r="M29" s="35">
        <v>0.3</v>
      </c>
      <c r="N29" s="17">
        <f t="shared" si="7"/>
        <v>862.3846135749642</v>
      </c>
      <c r="O29" s="34">
        <f t="shared" si="8"/>
        <v>0.7685533350072964</v>
      </c>
      <c r="P29" s="34">
        <f t="shared" si="9"/>
        <v>3.842766675036482</v>
      </c>
      <c r="Q29" s="34">
        <f t="shared" si="4"/>
        <v>8.457233587073176</v>
      </c>
      <c r="R29" s="36">
        <f t="shared" si="10"/>
        <v>12.30000026210966</v>
      </c>
      <c r="S29" s="34"/>
      <c r="T29" s="34">
        <v>12.53</v>
      </c>
      <c r="U29" s="37">
        <v>4</v>
      </c>
      <c r="V29" s="37">
        <v>4.8</v>
      </c>
      <c r="W29" s="25"/>
      <c r="X29" s="25"/>
      <c r="Y29" s="25"/>
      <c r="Z29" s="25"/>
      <c r="AA29" s="25"/>
      <c r="AB29" s="25"/>
    </row>
    <row r="30" spans="2:28" ht="18">
      <c r="B30" s="3"/>
      <c r="C30" s="3"/>
      <c r="D30" s="25"/>
      <c r="E30" s="25"/>
      <c r="F30" s="21">
        <v>3.5986557953158522</v>
      </c>
      <c r="G30" s="34">
        <f t="shared" si="5"/>
        <v>1.230812770893676</v>
      </c>
      <c r="H30" s="34">
        <f t="shared" si="6"/>
        <v>3.381630295606751</v>
      </c>
      <c r="I30" s="34">
        <f t="shared" si="0"/>
        <v>0.3490658503988659</v>
      </c>
      <c r="J30" s="5">
        <f t="shared" si="1"/>
        <v>1.8</v>
      </c>
      <c r="K30" s="35">
        <f t="shared" si="2"/>
        <v>0.9</v>
      </c>
      <c r="L30" s="5">
        <f t="shared" si="3"/>
        <v>70</v>
      </c>
      <c r="M30" s="35">
        <v>0.3</v>
      </c>
      <c r="N30" s="17">
        <f t="shared" si="7"/>
        <v>871.3019464273629</v>
      </c>
      <c r="O30" s="34">
        <f t="shared" si="8"/>
        <v>0.8485532628488778</v>
      </c>
      <c r="P30" s="34">
        <f t="shared" si="9"/>
        <v>4.242766314244389</v>
      </c>
      <c r="Q30" s="34">
        <f t="shared" si="4"/>
        <v>8.457233587073176</v>
      </c>
      <c r="R30" s="36">
        <f t="shared" si="10"/>
        <v>12.699999901317565</v>
      </c>
      <c r="S30" s="34"/>
      <c r="T30" s="34">
        <v>13</v>
      </c>
      <c r="U30" s="37">
        <v>4.4</v>
      </c>
      <c r="V30" s="37">
        <v>5.2</v>
      </c>
      <c r="W30" s="25"/>
      <c r="X30" s="25"/>
      <c r="Y30" s="25"/>
      <c r="Z30" s="25"/>
      <c r="AA30" s="25"/>
      <c r="AB30" s="25"/>
    </row>
    <row r="31" spans="4:28" ht="18">
      <c r="D31" s="25"/>
      <c r="E31" s="25"/>
      <c r="F31" s="21">
        <v>3.8047981003636537</v>
      </c>
      <c r="G31" s="34">
        <f t="shared" si="5"/>
        <v>1.3013175916116089</v>
      </c>
      <c r="H31" s="34">
        <f t="shared" si="6"/>
        <v>3.5753406984919676</v>
      </c>
      <c r="I31" s="34">
        <f t="shared" si="0"/>
        <v>0.3490658503988659</v>
      </c>
      <c r="J31" s="5">
        <f t="shared" si="1"/>
        <v>1.8</v>
      </c>
      <c r="K31" s="35">
        <f t="shared" si="2"/>
        <v>0.9</v>
      </c>
      <c r="L31" s="5">
        <f t="shared" si="3"/>
        <v>70</v>
      </c>
      <c r="M31" s="35">
        <v>0.3</v>
      </c>
      <c r="N31" s="17">
        <f t="shared" si="7"/>
        <v>881.8765256361831</v>
      </c>
      <c r="O31" s="34">
        <f t="shared" si="8"/>
        <v>0.948553261356276</v>
      </c>
      <c r="P31" s="34">
        <f t="shared" si="9"/>
        <v>4.74276630678138</v>
      </c>
      <c r="Q31" s="34">
        <f t="shared" si="4"/>
        <v>8.457233587073176</v>
      </c>
      <c r="R31" s="36">
        <f t="shared" si="10"/>
        <v>13.199999893854557</v>
      </c>
      <c r="S31" s="34"/>
      <c r="T31" s="34">
        <v>13.47</v>
      </c>
      <c r="U31" s="37">
        <v>4.8</v>
      </c>
      <c r="V31" s="37">
        <v>5.6</v>
      </c>
      <c r="W31" s="25"/>
      <c r="X31" s="25"/>
      <c r="Y31" s="25"/>
      <c r="Z31" s="25"/>
      <c r="AA31" s="25"/>
      <c r="AB31" s="25"/>
    </row>
    <row r="32" spans="4:28" ht="18">
      <c r="D32" s="25"/>
      <c r="E32" s="25"/>
      <c r="F32" s="21">
        <v>4.000331694505308</v>
      </c>
      <c r="G32" s="34">
        <f t="shared" si="5"/>
        <v>1.3681940195049205</v>
      </c>
      <c r="H32" s="34">
        <f t="shared" si="6"/>
        <v>3.7590821740226263</v>
      </c>
      <c r="I32" s="34">
        <f t="shared" si="0"/>
        <v>0.3490658503988659</v>
      </c>
      <c r="J32" s="5">
        <f t="shared" si="1"/>
        <v>1.8</v>
      </c>
      <c r="K32" s="35">
        <f t="shared" si="2"/>
        <v>0.9</v>
      </c>
      <c r="L32" s="5">
        <f t="shared" si="3"/>
        <v>70</v>
      </c>
      <c r="M32" s="35">
        <v>0.3</v>
      </c>
      <c r="N32" s="17">
        <f t="shared" si="7"/>
        <v>891.9069047898302</v>
      </c>
      <c r="O32" s="34">
        <f t="shared" si="8"/>
        <v>1.0485532618400226</v>
      </c>
      <c r="P32" s="34">
        <f t="shared" si="9"/>
        <v>5.242766309200113</v>
      </c>
      <c r="Q32" s="34">
        <f t="shared" si="4"/>
        <v>8.457233587073176</v>
      </c>
      <c r="R32" s="36">
        <f t="shared" si="10"/>
        <v>13.69999989627329</v>
      </c>
      <c r="S32" s="34"/>
      <c r="T32" s="34">
        <v>13.93</v>
      </c>
      <c r="U32" s="37">
        <v>5.2</v>
      </c>
      <c r="V32" s="37">
        <v>6</v>
      </c>
      <c r="W32" s="25"/>
      <c r="X32" s="25"/>
      <c r="Y32" s="25"/>
      <c r="Z32" s="25"/>
      <c r="AA32" s="25"/>
      <c r="AB32" s="25"/>
    </row>
    <row r="33" spans="2:28" ht="18">
      <c r="B33" s="2"/>
      <c r="C33" s="2"/>
      <c r="D33" s="27"/>
      <c r="E33" s="27"/>
      <c r="F33" s="21">
        <v>4.186743217900064</v>
      </c>
      <c r="G33" s="34">
        <f t="shared" si="5"/>
        <v>1.4319505154539514</v>
      </c>
      <c r="H33" s="34">
        <f t="shared" si="6"/>
        <v>3.934251706986139</v>
      </c>
      <c r="I33" s="34">
        <f t="shared" si="0"/>
        <v>0.3490658503988659</v>
      </c>
      <c r="J33" s="5">
        <f t="shared" si="1"/>
        <v>1.8</v>
      </c>
      <c r="K33" s="35">
        <f t="shared" si="2"/>
        <v>0.9</v>
      </c>
      <c r="L33" s="5">
        <f t="shared" si="3"/>
        <v>70</v>
      </c>
      <c r="M33" s="35">
        <v>0.3</v>
      </c>
      <c r="N33" s="17">
        <f t="shared" si="7"/>
        <v>901.4693447708792</v>
      </c>
      <c r="O33" s="34">
        <f t="shared" si="8"/>
        <v>1.1485532639641978</v>
      </c>
      <c r="P33" s="34">
        <f t="shared" si="9"/>
        <v>5.742766319820989</v>
      </c>
      <c r="Q33" s="34">
        <f t="shared" si="4"/>
        <v>8.457233587073176</v>
      </c>
      <c r="R33" s="36">
        <f t="shared" si="10"/>
        <v>14.199999906894165</v>
      </c>
      <c r="S33" s="34"/>
      <c r="T33" s="34">
        <v>14.39</v>
      </c>
      <c r="U33" s="37">
        <v>5.6</v>
      </c>
      <c r="V33" s="37">
        <v>6.4</v>
      </c>
      <c r="W33" s="25"/>
      <c r="X33" s="25"/>
      <c r="Y33" s="25"/>
      <c r="Z33" s="25"/>
      <c r="AA33" s="25"/>
      <c r="AB33" s="25"/>
    </row>
    <row r="34" spans="4:28" ht="18">
      <c r="D34" s="25"/>
      <c r="E34" s="25"/>
      <c r="F34" s="21">
        <v>4.330098467078913</v>
      </c>
      <c r="G34" s="34">
        <f t="shared" si="5"/>
        <v>1.4809808983245882</v>
      </c>
      <c r="H34" s="34">
        <f t="shared" si="6"/>
        <v>4.068961576790429</v>
      </c>
      <c r="I34" s="34">
        <f t="shared" si="0"/>
        <v>0.3490658503988659</v>
      </c>
      <c r="J34" s="5">
        <f t="shared" si="1"/>
        <v>1.8</v>
      </c>
      <c r="K34" s="35">
        <f t="shared" si="2"/>
        <v>0.9</v>
      </c>
      <c r="L34" s="5">
        <f t="shared" si="3"/>
        <v>70</v>
      </c>
      <c r="M34" s="35">
        <v>0.3</v>
      </c>
      <c r="N34" s="17">
        <f t="shared" si="7"/>
        <v>908.8231067126134</v>
      </c>
      <c r="O34" s="34">
        <f t="shared" si="8"/>
        <v>1.2285533886326852</v>
      </c>
      <c r="P34" s="34">
        <f t="shared" si="9"/>
        <v>6.1427669431634255</v>
      </c>
      <c r="Q34" s="34">
        <f t="shared" si="4"/>
        <v>8.457233587073176</v>
      </c>
      <c r="R34" s="36">
        <f t="shared" si="10"/>
        <v>14.600000530236603</v>
      </c>
      <c r="S34" s="34"/>
      <c r="T34" s="34">
        <v>14.85</v>
      </c>
      <c r="U34" s="37">
        <v>6</v>
      </c>
      <c r="V34" s="37">
        <v>6.8</v>
      </c>
      <c r="W34" s="25"/>
      <c r="X34" s="25"/>
      <c r="Y34" s="25"/>
      <c r="Z34" s="25"/>
      <c r="AA34" s="25"/>
      <c r="AB34" s="25"/>
    </row>
    <row r="35" spans="1:28" ht="18">
      <c r="A35" s="6"/>
      <c r="B35" s="6"/>
      <c r="C35" s="6"/>
      <c r="D35" s="25"/>
      <c r="E35" s="25"/>
      <c r="F35" s="21">
        <v>4.502878757531139</v>
      </c>
      <c r="G35" s="34">
        <f t="shared" si="5"/>
        <v>1.5400752380289093</v>
      </c>
      <c r="H35" s="34">
        <f t="shared" si="6"/>
        <v>4.231321940745631</v>
      </c>
      <c r="I35" s="34">
        <f t="shared" si="0"/>
        <v>0.3490658503988659</v>
      </c>
      <c r="J35" s="5">
        <f t="shared" si="1"/>
        <v>1.8</v>
      </c>
      <c r="K35" s="35">
        <f t="shared" si="2"/>
        <v>0.9</v>
      </c>
      <c r="L35" s="5">
        <f t="shared" si="3"/>
        <v>70</v>
      </c>
      <c r="M35" s="35">
        <v>0.3</v>
      </c>
      <c r="N35" s="17">
        <f t="shared" si="7"/>
        <v>917.6862988976739</v>
      </c>
      <c r="O35" s="34">
        <f t="shared" si="8"/>
        <v>1.3285533425220741</v>
      </c>
      <c r="P35" s="34">
        <f t="shared" si="9"/>
        <v>6.642766712610371</v>
      </c>
      <c r="Q35" s="34">
        <f t="shared" si="4"/>
        <v>8.457233587073176</v>
      </c>
      <c r="R35" s="36">
        <f t="shared" si="10"/>
        <v>15.100000299683547</v>
      </c>
      <c r="S35" s="34"/>
      <c r="T35" s="34">
        <v>15.28</v>
      </c>
      <c r="U35" s="37">
        <v>6.4</v>
      </c>
      <c r="V35" s="37">
        <v>7.2</v>
      </c>
      <c r="W35" s="25"/>
      <c r="X35" s="25"/>
      <c r="Y35" s="25"/>
      <c r="Z35" s="25"/>
      <c r="AA35" s="25"/>
      <c r="AB35" s="25"/>
    </row>
    <row r="36" spans="4:28" ht="18">
      <c r="D36" s="25"/>
      <c r="E36" s="25"/>
      <c r="F36" s="21">
        <v>4.669269912041077</v>
      </c>
      <c r="G36" s="34">
        <f t="shared" si="5"/>
        <v>1.5969843645425217</v>
      </c>
      <c r="H36" s="34">
        <f t="shared" si="6"/>
        <v>4.387678480802668</v>
      </c>
      <c r="I36" s="34">
        <f t="shared" si="0"/>
        <v>0.3490658503988659</v>
      </c>
      <c r="J36" s="5">
        <f t="shared" si="1"/>
        <v>1.8</v>
      </c>
      <c r="K36" s="35">
        <f t="shared" si="2"/>
        <v>0.9</v>
      </c>
      <c r="L36" s="5">
        <f t="shared" si="3"/>
        <v>70</v>
      </c>
      <c r="M36" s="35">
        <v>0.3</v>
      </c>
      <c r="N36" s="17">
        <f t="shared" si="7"/>
        <v>926.221744557915</v>
      </c>
      <c r="O36" s="34">
        <f t="shared" si="8"/>
        <v>1.428553298772996</v>
      </c>
      <c r="P36" s="34">
        <f t="shared" si="9"/>
        <v>7.142766493864981</v>
      </c>
      <c r="Q36" s="34">
        <f t="shared" si="4"/>
        <v>8.457233587073176</v>
      </c>
      <c r="R36" s="36">
        <f t="shared" si="10"/>
        <v>15.600000080938157</v>
      </c>
      <c r="S36" s="34"/>
      <c r="T36" s="34">
        <v>15.73</v>
      </c>
      <c r="U36" s="37">
        <v>6.8</v>
      </c>
      <c r="V36" s="37">
        <v>7.6</v>
      </c>
      <c r="W36" s="25"/>
      <c r="X36" s="25"/>
      <c r="Y36" s="25"/>
      <c r="Z36" s="25"/>
      <c r="AA36" s="25"/>
      <c r="AB36" s="25"/>
    </row>
    <row r="37" spans="4:28" ht="18">
      <c r="D37" s="25"/>
      <c r="E37" s="25"/>
      <c r="F37" s="21">
        <v>4.829932368868337</v>
      </c>
      <c r="G37" s="34">
        <f t="shared" si="5"/>
        <v>1.6519341610536353</v>
      </c>
      <c r="H37" s="34">
        <f t="shared" si="6"/>
        <v>4.538651805920579</v>
      </c>
      <c r="I37" s="34">
        <f t="shared" si="0"/>
        <v>0.3490658503988659</v>
      </c>
      <c r="J37" s="5">
        <f t="shared" si="1"/>
        <v>1.8</v>
      </c>
      <c r="K37" s="35">
        <f t="shared" si="2"/>
        <v>0.9</v>
      </c>
      <c r="L37" s="5">
        <f t="shared" si="3"/>
        <v>70</v>
      </c>
      <c r="M37" s="35">
        <v>0.3</v>
      </c>
      <c r="N37" s="17">
        <f t="shared" si="7"/>
        <v>934.4633225067479</v>
      </c>
      <c r="O37" s="34">
        <f t="shared" si="8"/>
        <v>1.5285533054695162</v>
      </c>
      <c r="P37" s="34">
        <f t="shared" si="9"/>
        <v>7.642766527347581</v>
      </c>
      <c r="Q37" s="34">
        <f t="shared" si="4"/>
        <v>8.457233587073176</v>
      </c>
      <c r="R37" s="36">
        <f t="shared" si="10"/>
        <v>16.10000011442076</v>
      </c>
      <c r="S37" s="34"/>
      <c r="T37" s="34">
        <v>16.15</v>
      </c>
      <c r="U37" s="37">
        <v>7.2</v>
      </c>
      <c r="V37" s="37">
        <v>8</v>
      </c>
      <c r="W37" s="25"/>
      <c r="X37" s="25"/>
      <c r="Y37" s="25"/>
      <c r="Z37" s="25"/>
      <c r="AA37" s="25"/>
      <c r="AB37" s="25"/>
    </row>
    <row r="38" spans="4:28" ht="18">
      <c r="D38" s="25"/>
      <c r="E38" s="25"/>
      <c r="F38" s="21">
        <v>4.954712798468359</v>
      </c>
      <c r="G38" s="34">
        <f t="shared" si="5"/>
        <v>1.6946115814696732</v>
      </c>
      <c r="H38" s="34">
        <f t="shared" si="6"/>
        <v>4.6559070548342145</v>
      </c>
      <c r="I38" s="34">
        <f t="shared" si="0"/>
        <v>0.3490658503988659</v>
      </c>
      <c r="J38" s="5">
        <f t="shared" si="1"/>
        <v>1.8</v>
      </c>
      <c r="K38" s="35">
        <f t="shared" si="2"/>
        <v>0.9</v>
      </c>
      <c r="L38" s="5">
        <f t="shared" si="3"/>
        <v>70</v>
      </c>
      <c r="M38" s="35">
        <v>0.3</v>
      </c>
      <c r="N38" s="17">
        <f t="shared" si="7"/>
        <v>940.8642431533374</v>
      </c>
      <c r="O38" s="34">
        <f t="shared" si="8"/>
        <v>1.6085533164869348</v>
      </c>
      <c r="P38" s="34">
        <f t="shared" si="9"/>
        <v>8.042766582434673</v>
      </c>
      <c r="Q38" s="34">
        <f t="shared" si="4"/>
        <v>8.457233587073176</v>
      </c>
      <c r="R38" s="36">
        <f t="shared" si="10"/>
        <v>16.50000016950785</v>
      </c>
      <c r="S38" s="34"/>
      <c r="T38" s="38">
        <v>16.58</v>
      </c>
      <c r="U38" s="37">
        <v>7.6</v>
      </c>
      <c r="V38" s="37">
        <v>8</v>
      </c>
      <c r="W38" s="25"/>
      <c r="X38" s="25"/>
      <c r="Y38" s="25"/>
      <c r="Z38" s="25"/>
      <c r="AA38" s="25"/>
      <c r="AB38" s="25"/>
    </row>
    <row r="39" spans="4:28" ht="18">
      <c r="D39" s="25"/>
      <c r="E39" s="25"/>
      <c r="F39" s="21">
        <v>5</v>
      </c>
      <c r="G39" s="34">
        <f t="shared" si="5"/>
        <v>1.7101007166283435</v>
      </c>
      <c r="H39" s="34">
        <f t="shared" si="6"/>
        <v>4.698463103929543</v>
      </c>
      <c r="I39" s="34">
        <f>$I$15*PI()/180</f>
        <v>0.3490658503988659</v>
      </c>
      <c r="J39" s="5">
        <f>$J$15</f>
        <v>1.8</v>
      </c>
      <c r="K39" s="35">
        <f t="shared" si="2"/>
        <v>0.9</v>
      </c>
      <c r="L39" s="5">
        <f>$L$15</f>
        <v>70</v>
      </c>
      <c r="M39" s="35">
        <v>0.3</v>
      </c>
      <c r="N39" s="17">
        <f t="shared" si="7"/>
        <v>943.1873621251133</v>
      </c>
      <c r="O39" s="34">
        <f t="shared" si="8"/>
        <v>1.638092787172628</v>
      </c>
      <c r="P39" s="34">
        <f t="shared" si="9"/>
        <v>8.190463935863141</v>
      </c>
      <c r="Q39" s="34">
        <f t="shared" si="4"/>
        <v>8.457233587073176</v>
      </c>
      <c r="R39" s="36">
        <f t="shared" si="10"/>
        <v>16.64769752293632</v>
      </c>
      <c r="S39" s="34"/>
      <c r="T39" s="38">
        <v>17</v>
      </c>
      <c r="U39" s="37">
        <v>8</v>
      </c>
      <c r="V39" s="37">
        <v>8</v>
      </c>
      <c r="W39" s="25"/>
      <c r="X39" s="25"/>
      <c r="Y39" s="25"/>
      <c r="Z39" s="25"/>
      <c r="AA39" s="25"/>
      <c r="AB39" s="25"/>
    </row>
    <row r="40" spans="4:28" ht="12.75">
      <c r="D40" s="25"/>
      <c r="E40" s="25"/>
      <c r="F40" s="28"/>
      <c r="G40" s="29"/>
      <c r="H40" s="25"/>
      <c r="I40" s="25"/>
      <c r="J40" s="25"/>
      <c r="K40" s="25"/>
      <c r="L40" s="25"/>
      <c r="M40" s="25"/>
      <c r="N40" s="29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4:28" ht="12.75">
      <c r="D41" s="25"/>
      <c r="E41" s="25"/>
      <c r="F41" s="28"/>
      <c r="G41" s="29"/>
      <c r="H41" s="25"/>
      <c r="I41" s="25"/>
      <c r="J41" s="25"/>
      <c r="K41" s="25"/>
      <c r="L41" s="25"/>
      <c r="M41" s="25"/>
      <c r="N41" s="29"/>
      <c r="O41" s="25"/>
      <c r="P41" s="25"/>
      <c r="Q41" s="28"/>
      <c r="R41" s="28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4:18" ht="12.75">
      <c r="D42" s="25"/>
      <c r="E42" s="25"/>
      <c r="H42" s="4"/>
      <c r="Q42" s="4"/>
      <c r="R42" s="4"/>
    </row>
    <row r="247" ht="12.75">
      <c r="F247" s="4">
        <v>0</v>
      </c>
    </row>
  </sheetData>
  <sheetProtection password="D2F5" sheet="1" objects="1" scenarios="1"/>
  <mergeCells count="5">
    <mergeCell ref="A10:D10"/>
    <mergeCell ref="A1:D1"/>
    <mergeCell ref="X1:Y1"/>
    <mergeCell ref="P8:R8"/>
    <mergeCell ref="P5:R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QUESNEL</cp:lastModifiedBy>
  <dcterms:created xsi:type="dcterms:W3CDTF">1996-10-21T11:03:58Z</dcterms:created>
  <dcterms:modified xsi:type="dcterms:W3CDTF">2013-11-24T14:12:22Z</dcterms:modified>
  <cp:category/>
  <cp:version/>
  <cp:contentType/>
  <cp:contentStatus/>
</cp:coreProperties>
</file>